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odr\Documents\A+ Framers\2025\Bidding\"/>
    </mc:Choice>
  </mc:AlternateContent>
  <xr:revisionPtr revIDLastSave="0" documentId="13_ncr:1_{8247C5BC-D092-408B-8560-B1921B1C031C}" xr6:coauthVersionLast="47" xr6:coauthVersionMax="47" xr10:uidLastSave="{00000000-0000-0000-0000-000000000000}"/>
  <bookViews>
    <workbookView xWindow="6070" yWindow="1040" windowWidth="24290" windowHeight="19920" firstSheet="1" activeTab="3" xr2:uid="{00000000-000D-0000-FFFF-FFFF00000000}"/>
  </bookViews>
  <sheets>
    <sheet name="Framing Labor - Proposal" sheetId="14" r:id="rId1"/>
    <sheet name="Framing Material Estimator" sheetId="15" r:id="rId2"/>
    <sheet name="Wall Details" sheetId="16" r:id="rId3"/>
    <sheet name="Hat Channel" sheetId="17" r:id="rId4"/>
    <sheet name="Notes" sheetId="5" r:id="rId5"/>
  </sheets>
  <definedNames>
    <definedName name="_xlnm.Print_Area" localSheetId="0">'Framing Labor - Proposal'!$B$2:$E$47</definedName>
    <definedName name="_xlnm.Print_Area" localSheetId="1">'Framing Material Estimator'!$I$6:$K$52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7" l="1"/>
  <c r="E10" i="17"/>
  <c r="B10" i="17" l="1"/>
  <c r="B16" i="17" s="1"/>
  <c r="B17" i="17" s="1"/>
  <c r="D10" i="17" l="1"/>
  <c r="B14" i="17" l="1"/>
  <c r="G13" i="17"/>
  <c r="C10" i="17" l="1"/>
  <c r="B15" i="17" l="1"/>
  <c r="G10" i="17" s="1"/>
  <c r="H10" i="17" s="1"/>
  <c r="J5" i="16"/>
  <c r="M5" i="16" s="1"/>
  <c r="N6" i="16"/>
  <c r="M6" i="16"/>
  <c r="J4" i="16"/>
  <c r="J6" i="16"/>
  <c r="J3" i="16"/>
  <c r="G27" i="15"/>
  <c r="N5" i="16" l="1"/>
  <c r="H13" i="17"/>
  <c r="B11" i="15"/>
  <c r="B10" i="15"/>
  <c r="B9" i="16" l="1"/>
  <c r="B8" i="16"/>
  <c r="I26" i="14" l="1"/>
  <c r="G40" i="15" l="1"/>
  <c r="F40" i="15"/>
  <c r="E40" i="15"/>
  <c r="G39" i="15"/>
  <c r="F39" i="15"/>
  <c r="E39" i="15"/>
  <c r="G38" i="15"/>
  <c r="F38" i="15"/>
  <c r="E38" i="15"/>
  <c r="G37" i="15"/>
  <c r="F37" i="15"/>
  <c r="E37" i="15"/>
  <c r="G36" i="15"/>
  <c r="F36" i="15"/>
  <c r="E36" i="15"/>
  <c r="G35" i="15"/>
  <c r="F35" i="15"/>
  <c r="E35" i="15"/>
  <c r="G34" i="15"/>
  <c r="F34" i="15"/>
  <c r="E34" i="15"/>
  <c r="G33" i="15"/>
  <c r="F33" i="15"/>
  <c r="E33" i="15"/>
  <c r="G29" i="15"/>
  <c r="G28" i="15"/>
  <c r="G30" i="15"/>
  <c r="G31" i="15"/>
  <c r="G32" i="15"/>
  <c r="F28" i="15"/>
  <c r="F29" i="15"/>
  <c r="F30" i="15"/>
  <c r="F31" i="15"/>
  <c r="F32" i="15"/>
  <c r="E28" i="15"/>
  <c r="E29" i="15"/>
  <c r="E30" i="15"/>
  <c r="E31" i="15"/>
  <c r="E32" i="15"/>
  <c r="F27" i="15"/>
  <c r="E27" i="15"/>
  <c r="G26" i="15" l="1"/>
  <c r="E22" i="15"/>
  <c r="K22" i="15" s="1"/>
  <c r="K28" i="15" l="1"/>
  <c r="K30" i="15"/>
  <c r="K20" i="15" l="1"/>
  <c r="E19" i="15"/>
  <c r="K19" i="15" s="1"/>
  <c r="K10" i="15"/>
  <c r="K11" i="15"/>
  <c r="K12" i="15"/>
  <c r="K21" i="15"/>
  <c r="E26" i="15"/>
  <c r="K26" i="15" s="1"/>
  <c r="E53" i="15"/>
  <c r="K43" i="15" s="1"/>
  <c r="E49" i="15"/>
  <c r="E47" i="15" s="1"/>
  <c r="K38" i="15" s="1"/>
  <c r="E8" i="15"/>
  <c r="E15" i="15"/>
  <c r="K15" i="15" s="1"/>
  <c r="E17" i="15"/>
  <c r="K17" i="15" s="1"/>
  <c r="E16" i="15"/>
  <c r="K14" i="15" s="1"/>
  <c r="E18" i="15"/>
  <c r="K18" i="15" s="1"/>
  <c r="E11" i="15"/>
  <c r="E10" i="15"/>
  <c r="E9" i="15"/>
  <c r="K8" i="15" s="1"/>
  <c r="E46" i="15" l="1"/>
  <c r="K37" i="15" s="1"/>
  <c r="F26" i="15"/>
  <c r="K27" i="15" s="1"/>
  <c r="K9" i="15"/>
  <c r="K13" i="15"/>
  <c r="K16" i="15"/>
  <c r="K48" i="15" l="1"/>
  <c r="K52" i="15" l="1"/>
  <c r="K51" i="15"/>
  <c r="K53" i="15"/>
  <c r="K50" i="15"/>
  <c r="K54" i="15" l="1"/>
  <c r="E22" i="14" s="1"/>
  <c r="I19" i="14"/>
  <c r="I28" i="14" l="1"/>
  <c r="I37" i="14" s="1"/>
  <c r="I38" i="14" l="1"/>
  <c r="I41" i="14" s="1"/>
  <c r="I40" i="14"/>
  <c r="I39" i="14"/>
  <c r="E14" i="14" l="1"/>
  <c r="E41" i="14" s="1"/>
  <c r="E44" i="14" s="1"/>
</calcChain>
</file>

<file path=xl/sharedStrings.xml><?xml version="1.0" encoding="utf-8"?>
<sst xmlns="http://schemas.openxmlformats.org/spreadsheetml/2006/main" count="246" uniqueCount="219">
  <si>
    <t>Qt</t>
  </si>
  <si>
    <t>A+ Framers, Inc</t>
  </si>
  <si>
    <t>Gypsum Drywall Contractor.</t>
  </si>
  <si>
    <t>Naples, Florida</t>
  </si>
  <si>
    <t>Tel: (239) 362 5771</t>
  </si>
  <si>
    <t>e-mail: aframers@ivanhoer.com</t>
  </si>
  <si>
    <t>Description</t>
  </si>
  <si>
    <t>Price</t>
  </si>
  <si>
    <t>Total</t>
  </si>
  <si>
    <t>Subtotal</t>
  </si>
  <si>
    <t>Taxes</t>
  </si>
  <si>
    <t>Shipping</t>
  </si>
  <si>
    <t>Contact: Ivanhoe Rodriguez</t>
  </si>
  <si>
    <t>Fax: (239) 790 1327</t>
  </si>
  <si>
    <t>Area Summary</t>
  </si>
  <si>
    <t>Square Footage</t>
  </si>
  <si>
    <t>1st Fl. Living A/C</t>
  </si>
  <si>
    <t>Total A/C</t>
  </si>
  <si>
    <t>Covery Entry</t>
  </si>
  <si>
    <t>1st Fl. Covered Lenai</t>
  </si>
  <si>
    <t>2nd Fl. Covered Balconies</t>
  </si>
  <si>
    <t>Garages</t>
  </si>
  <si>
    <t>Total Non - A/C</t>
  </si>
  <si>
    <t>Grand Total</t>
  </si>
  <si>
    <t>Pricing Valid for 30 days from date of quotation</t>
  </si>
  <si>
    <t>2nd Fl. Living A/C</t>
  </si>
  <si>
    <t>Job Cost Proposal</t>
  </si>
  <si>
    <t>Master Bedroom</t>
  </si>
  <si>
    <t>Guest Bedroom #2</t>
  </si>
  <si>
    <t>Guest Bath #2</t>
  </si>
  <si>
    <t>2 Car Garage</t>
  </si>
  <si>
    <t>1 Car Garage</t>
  </si>
  <si>
    <t>Metal Framing</t>
  </si>
  <si>
    <t>Item 1</t>
  </si>
  <si>
    <t>Perimeter Wall - Furring</t>
  </si>
  <si>
    <t>Feets</t>
  </si>
  <si>
    <t>Studs / Strip Units</t>
  </si>
  <si>
    <t>Units</t>
  </si>
  <si>
    <t>Perimeter Windows</t>
  </si>
  <si>
    <t>Perimeter Door</t>
  </si>
  <si>
    <t>2x4 or 1x4 for windows</t>
  </si>
  <si>
    <t>2x4 or 1x4 for doors</t>
  </si>
  <si>
    <t>Item 2</t>
  </si>
  <si>
    <t>Interior Walls 3-5/8</t>
  </si>
  <si>
    <t>Interior Walls 6"</t>
  </si>
  <si>
    <t>Interior Doors</t>
  </si>
  <si>
    <t>Pk Door</t>
  </si>
  <si>
    <t>Item 3</t>
  </si>
  <si>
    <t>Drop Ceiling and Soffits</t>
  </si>
  <si>
    <t>Item 4</t>
  </si>
  <si>
    <t>Item 6</t>
  </si>
  <si>
    <t>Backing for cabintes</t>
  </si>
  <si>
    <t>Studs - Units</t>
  </si>
  <si>
    <t>Bottom and Top Runner Units</t>
  </si>
  <si>
    <t>Bottom ant top Units</t>
  </si>
  <si>
    <t>Bottom ant top runner Units</t>
  </si>
  <si>
    <t>2x4x10 for door</t>
  </si>
  <si>
    <t>A/C Areas</t>
  </si>
  <si>
    <r>
      <t xml:space="preserve">Scab and strip Truss - </t>
    </r>
    <r>
      <rPr>
        <b/>
        <sz val="11"/>
        <color theme="1"/>
        <rFont val="Calibri"/>
        <family val="2"/>
        <scheme val="minor"/>
      </rPr>
      <t>Total Area</t>
    </r>
  </si>
  <si>
    <t>1x3x16 Units</t>
  </si>
  <si>
    <t>SqFt</t>
  </si>
  <si>
    <t>1x6 for backing</t>
  </si>
  <si>
    <t>Tracks</t>
  </si>
  <si>
    <t>3-5/8 12' Studs - Units</t>
  </si>
  <si>
    <t>Price Unit</t>
  </si>
  <si>
    <t>Item Description</t>
  </si>
  <si>
    <t>1x2x10 Pt Furring Strip</t>
  </si>
  <si>
    <t>Sub Total</t>
  </si>
  <si>
    <t>Delivery Charge</t>
  </si>
  <si>
    <t>14x4x10 PT#2</t>
  </si>
  <si>
    <t>Track 3-5/8 20ga</t>
  </si>
  <si>
    <t>Studs 3-5/8 20ga 12'</t>
  </si>
  <si>
    <t>Track 6" 20ga</t>
  </si>
  <si>
    <t>Studs 6" 20ga 12'</t>
  </si>
  <si>
    <t>2x4x10 Spru (white)</t>
  </si>
  <si>
    <t>Track 1-5/8 20ga</t>
  </si>
  <si>
    <t>Studs 1-5/8 20ga 12'</t>
  </si>
  <si>
    <t>2x2 20ga 90 Degree Angle</t>
  </si>
  <si>
    <t xml:space="preserve">2x6x10 Pt #2 </t>
  </si>
  <si>
    <t>1x3x16 White</t>
  </si>
  <si>
    <t>Screws and pins (7*6*10)</t>
  </si>
  <si>
    <t>Pkt Door Cage</t>
  </si>
  <si>
    <t>Plywood for Soffits</t>
  </si>
  <si>
    <t>Studs 10'</t>
  </si>
  <si>
    <t>2X2 Angle</t>
  </si>
  <si>
    <t>Guest Bedroom #1</t>
  </si>
  <si>
    <t>Utilities</t>
  </si>
  <si>
    <t>Laundy</t>
  </si>
  <si>
    <t>G Bath #1</t>
  </si>
  <si>
    <t>Master Bath</t>
  </si>
  <si>
    <t>Hall to Master</t>
  </si>
  <si>
    <t>Hall to Guest Bedrooms</t>
  </si>
  <si>
    <t>Master Closet</t>
  </si>
  <si>
    <t>Living Room</t>
  </si>
  <si>
    <t>Study &amp; Sitting Room</t>
  </si>
  <si>
    <t>Guest Bedroom #2 Closet</t>
  </si>
  <si>
    <t>Insulation LnFt of Wall</t>
  </si>
  <si>
    <t>Sqtf of Insulation</t>
  </si>
  <si>
    <t>Pink Insulation for interior Wall R13</t>
  </si>
  <si>
    <t>General contractor to provide all materials including</t>
  </si>
  <si>
    <t>pins and fastener</t>
  </si>
  <si>
    <t>This price is exclusive for framing, no hanging is included on it.</t>
  </si>
  <si>
    <t>All under roof framing</t>
  </si>
  <si>
    <t>Standard Bloquin for cabinets</t>
  </si>
  <si>
    <t>Standard coffer ceiling</t>
  </si>
  <si>
    <t>Scab and Stripping Ceilings</t>
  </si>
  <si>
    <t>Furring walls over Insulation</t>
  </si>
  <si>
    <t>Furring strip on perimeter walls</t>
  </si>
  <si>
    <r>
      <t xml:space="preserve">Scab and stripping trusses </t>
    </r>
    <r>
      <rPr>
        <b/>
        <sz val="11"/>
        <color theme="1"/>
        <rFont val="Calibri"/>
        <family val="2"/>
        <scheme val="minor"/>
      </rPr>
      <t>excluded</t>
    </r>
  </si>
  <si>
    <t>Job: Cambier Court North Unit</t>
  </si>
  <si>
    <t>760 Park St</t>
  </si>
  <si>
    <t>Naples FL 34102</t>
  </si>
  <si>
    <t>Outdoor Living</t>
  </si>
  <si>
    <t>Desire Price - Labor</t>
  </si>
  <si>
    <t>Framing labor per plans - Labor</t>
  </si>
  <si>
    <t>Perimeter Wall - 3/4 Furring - 1x4 on bottom and furring strip on top</t>
  </si>
  <si>
    <t>Interioir Furring Walls Both Side</t>
  </si>
  <si>
    <t>Interior Walls 3/58</t>
  </si>
  <si>
    <t>Interior Walls 6</t>
  </si>
  <si>
    <t>Interioir Walls</t>
  </si>
  <si>
    <t>1st Floor</t>
  </si>
  <si>
    <t>2nd Floor</t>
  </si>
  <si>
    <t>Drop Ceilings</t>
  </si>
  <si>
    <t>Hight</t>
  </si>
  <si>
    <t>Lf 90 degree Angle</t>
  </si>
  <si>
    <t>Lf 130 degree Angle</t>
  </si>
  <si>
    <t>Drywall beam ceiling</t>
  </si>
  <si>
    <t>Pk Door cage</t>
  </si>
  <si>
    <t>Lf 10x6 beam</t>
  </si>
  <si>
    <t>Lf Angles</t>
  </si>
  <si>
    <t>Interioir Door</t>
  </si>
  <si>
    <t>Exterior Windows</t>
  </si>
  <si>
    <t>Exterior Door</t>
  </si>
  <si>
    <t>Total Labor</t>
  </si>
  <si>
    <t>Supervision</t>
  </si>
  <si>
    <t>25ga</t>
  </si>
  <si>
    <t>20ga</t>
  </si>
  <si>
    <t>Material Contingency</t>
  </si>
  <si>
    <t>Markup and Profit</t>
  </si>
  <si>
    <t>Overhead</t>
  </si>
  <si>
    <t>Material Cost</t>
  </si>
  <si>
    <t>Mark Up &amp; Proffit</t>
  </si>
  <si>
    <t>Ft Price</t>
  </si>
  <si>
    <t>Total Price</t>
  </si>
  <si>
    <t>LF PRICE</t>
  </si>
  <si>
    <t>Wall @16</t>
  </si>
  <si>
    <t>Price per Piece</t>
  </si>
  <si>
    <t>Total SqFt</t>
  </si>
  <si>
    <t>SQFt Price</t>
  </si>
  <si>
    <t>Length of Wall</t>
  </si>
  <si>
    <t>Height of Wall</t>
  </si>
  <si>
    <t>Studs Space</t>
  </si>
  <si>
    <t>Foot Price</t>
  </si>
  <si>
    <t>25ga - 15Mil</t>
  </si>
  <si>
    <t>20ga - 19Mil</t>
  </si>
  <si>
    <t>18ga - 43 Mil</t>
  </si>
  <si>
    <t>Stud Size</t>
  </si>
  <si>
    <t>6 Inch</t>
  </si>
  <si>
    <t>3-5/8 Inch</t>
  </si>
  <si>
    <t>1-5/8 Inch</t>
  </si>
  <si>
    <t>20g -33mil</t>
  </si>
  <si>
    <t>Z-Furring 1-1/2</t>
  </si>
  <si>
    <t>20ga - 30mil</t>
  </si>
  <si>
    <t>8 Inch</t>
  </si>
  <si>
    <t>6" Flat Metal</t>
  </si>
  <si>
    <t>2x2 Angle</t>
  </si>
  <si>
    <t>14ga-68mil</t>
  </si>
  <si>
    <t>16ga-54mil</t>
  </si>
  <si>
    <t>4" Flat Metal</t>
  </si>
  <si>
    <t>3x3 Angle</t>
  </si>
  <si>
    <t>1x8 PT</t>
  </si>
  <si>
    <t>Bridge Cost</t>
  </si>
  <si>
    <t>Cold Roll 1-1/2</t>
  </si>
  <si>
    <t>Price no Tax</t>
  </si>
  <si>
    <t>Price no tax</t>
  </si>
  <si>
    <t>1X2 PT 8'</t>
  </si>
  <si>
    <t>1x4 PT 10'</t>
  </si>
  <si>
    <t>Slottered Trak 3-5/8 30MIL 10FT</t>
  </si>
  <si>
    <t>$1.2 LF</t>
  </si>
  <si>
    <t>Taxes + Overhead</t>
  </si>
  <si>
    <t>Hat Channel 1-1/2</t>
  </si>
  <si>
    <t>Slottered Trak 6" 30MIL 10FT</t>
  </si>
  <si>
    <t>$1.48 LF</t>
  </si>
  <si>
    <t>Track 3.5/8 18ga</t>
  </si>
  <si>
    <t>$0.87 Lf</t>
  </si>
  <si>
    <t>Hat Channel 7/8</t>
  </si>
  <si>
    <t>1x2 PT 10'</t>
  </si>
  <si>
    <t>1X6 PT 10'</t>
  </si>
  <si>
    <t>12 Inch</t>
  </si>
  <si>
    <t>12ga-</t>
  </si>
  <si>
    <t>2x4x10 white</t>
  </si>
  <si>
    <t>Wall in LF</t>
  </si>
  <si>
    <t>Bridge</t>
  </si>
  <si>
    <t>Studs</t>
  </si>
  <si>
    <t>Top/Bottom Track</t>
  </si>
  <si>
    <t>Studs 2-1/2 33mil</t>
  </si>
  <si>
    <t>$0.92 LF</t>
  </si>
  <si>
    <t>per piece - 10lf</t>
  </si>
  <si>
    <t>Bottom Track</t>
  </si>
  <si>
    <t>Top Track</t>
  </si>
  <si>
    <t>Cold Roll Bridge - LF</t>
  </si>
  <si>
    <t>Top Track Cost - Piece</t>
  </si>
  <si>
    <t>Cost of Lf of Metals Oct-2023</t>
  </si>
  <si>
    <t>2x6x10 Fire Rated</t>
  </si>
  <si>
    <t>1-5/8</t>
  </si>
  <si>
    <t>3-5/8</t>
  </si>
  <si>
    <t>6</t>
  </si>
  <si>
    <t>6" 33mil</t>
  </si>
  <si>
    <t>8" 33mil</t>
  </si>
  <si>
    <t>10" 33mil</t>
  </si>
  <si>
    <t>Slotted Track</t>
  </si>
  <si>
    <t xml:space="preserve"> 3-5/8 </t>
  </si>
  <si>
    <t>8" 18ga</t>
  </si>
  <si>
    <t>6" 18ga</t>
  </si>
  <si>
    <t>3-5/8 33mil</t>
  </si>
  <si>
    <t>800S162-43</t>
  </si>
  <si>
    <t>400S162-54</t>
  </si>
  <si>
    <t>362S162-43</t>
  </si>
  <si>
    <t>600S162-54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</si>
</sst>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"/>
  </numFmts>
  <fonts count="2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22"/>
      <color theme="1"/>
      <name val="Stencil"/>
      <family val="5"/>
    </font>
    <font>
      <b/>
      <i/>
      <sz val="14"/>
      <color theme="1"/>
      <name val="Goudy Old Style"/>
      <family val="1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44" fontId="9" fillId="0" borderId="0" applyFont="0" applyFill="0" applyBorder="0" applyAlignment="0" applyProtection="0"/>
    <xf numFmtId="0" fontId="10" fillId="0" borderId="2" applyNumberFormat="0" applyFill="0" applyAlignment="0" applyProtection="0"/>
    <xf numFmtId="0" fontId="2" fillId="0" borderId="3" applyNumberFormat="0" applyFill="0" applyAlignment="0" applyProtection="0"/>
    <xf numFmtId="9" fontId="9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1" applyFill="1"/>
    <xf numFmtId="0" fontId="0" fillId="0" borderId="0" xfId="0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3" borderId="0" xfId="0" applyFill="1"/>
    <xf numFmtId="0" fontId="2" fillId="0" borderId="0" xfId="0" applyFont="1"/>
    <xf numFmtId="0" fontId="7" fillId="0" borderId="0" xfId="0" applyFont="1"/>
    <xf numFmtId="0" fontId="1" fillId="0" borderId="0" xfId="1" applyFill="1" applyBorder="1"/>
    <xf numFmtId="0" fontId="8" fillId="3" borderId="0" xfId="0" applyFont="1" applyFill="1"/>
    <xf numFmtId="0" fontId="8" fillId="0" borderId="0" xfId="0" applyFont="1"/>
    <xf numFmtId="164" fontId="0" fillId="3" borderId="0" xfId="2" applyNumberFormat="1" applyFont="1" applyFill="1"/>
    <xf numFmtId="164" fontId="0" fillId="0" borderId="0" xfId="2" applyNumberFormat="1" applyFont="1" applyFill="1"/>
    <xf numFmtId="0" fontId="13" fillId="0" borderId="2" xfId="3" applyFont="1" applyFill="1"/>
    <xf numFmtId="1" fontId="13" fillId="0" borderId="2" xfId="3" applyNumberFormat="1" applyFont="1" applyFill="1"/>
    <xf numFmtId="0" fontId="14" fillId="0" borderId="0" xfId="0" applyFont="1"/>
    <xf numFmtId="0" fontId="11" fillId="0" borderId="3" xfId="4" applyFont="1" applyFill="1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0" xfId="0" applyFont="1"/>
    <xf numFmtId="0" fontId="16" fillId="0" borderId="8" xfId="0" applyFont="1" applyBorder="1"/>
    <xf numFmtId="0" fontId="16" fillId="0" borderId="9" xfId="0" applyFont="1" applyBorder="1"/>
    <xf numFmtId="0" fontId="17" fillId="0" borderId="0" xfId="0" applyFont="1"/>
    <xf numFmtId="164" fontId="0" fillId="0" borderId="1" xfId="2" applyNumberFormat="1" applyFont="1" applyFill="1" applyBorder="1"/>
    <xf numFmtId="164" fontId="2" fillId="0" borderId="1" xfId="2" applyNumberFormat="1" applyFont="1" applyFill="1" applyBorder="1"/>
    <xf numFmtId="10" fontId="0" fillId="0" borderId="1" xfId="0" applyNumberFormat="1" applyBorder="1"/>
    <xf numFmtId="9" fontId="0" fillId="0" borderId="1" xfId="0" applyNumberFormat="1" applyBorder="1"/>
    <xf numFmtId="44" fontId="0" fillId="0" borderId="1" xfId="2" applyFont="1" applyBorder="1"/>
    <xf numFmtId="44" fontId="0" fillId="3" borderId="0" xfId="0" applyNumberFormat="1" applyFill="1"/>
    <xf numFmtId="0" fontId="16" fillId="0" borderId="10" xfId="0" applyFont="1" applyBorder="1"/>
    <xf numFmtId="0" fontId="0" fillId="0" borderId="0" xfId="0" applyAlignment="1">
      <alignment wrapText="1"/>
    </xf>
    <xf numFmtId="9" fontId="0" fillId="0" borderId="0" xfId="5" applyFont="1" applyFill="1" applyBorder="1"/>
    <xf numFmtId="44" fontId="1" fillId="0" borderId="0" xfId="2" applyFont="1" applyFill="1" applyBorder="1"/>
    <xf numFmtId="44" fontId="0" fillId="0" borderId="0" xfId="2" applyFont="1" applyFill="1" applyBorder="1"/>
    <xf numFmtId="0" fontId="2" fillId="0" borderId="3" xfId="4"/>
    <xf numFmtId="44" fontId="2" fillId="0" borderId="3" xfId="4" applyNumberFormat="1"/>
    <xf numFmtId="9" fontId="2" fillId="0" borderId="1" xfId="5" applyFont="1" applyBorder="1"/>
    <xf numFmtId="9" fontId="0" fillId="0" borderId="1" xfId="5" applyFont="1" applyBorder="1"/>
    <xf numFmtId="44" fontId="11" fillId="0" borderId="3" xfId="4" applyNumberFormat="1" applyFont="1" applyFill="1"/>
    <xf numFmtId="44" fontId="0" fillId="0" borderId="0" xfId="2" applyFont="1"/>
    <xf numFmtId="44" fontId="0" fillId="0" borderId="0" xfId="0" applyNumberFormat="1"/>
    <xf numFmtId="0" fontId="0" fillId="0" borderId="1" xfId="0" applyBorder="1" applyAlignment="1">
      <alignment wrapText="1"/>
    </xf>
    <xf numFmtId="0" fontId="2" fillId="0" borderId="1" xfId="0" applyFont="1" applyBorder="1"/>
    <xf numFmtId="0" fontId="2" fillId="0" borderId="8" xfId="0" applyFont="1" applyBorder="1"/>
    <xf numFmtId="9" fontId="2" fillId="0" borderId="8" xfId="0" applyNumberFormat="1" applyFont="1" applyBorder="1"/>
    <xf numFmtId="0" fontId="2" fillId="0" borderId="11" xfId="0" applyFont="1" applyBorder="1"/>
    <xf numFmtId="14" fontId="2" fillId="0" borderId="1" xfId="0" applyNumberFormat="1" applyFont="1" applyBorder="1"/>
    <xf numFmtId="44" fontId="2" fillId="0" borderId="8" xfId="2" applyFont="1" applyBorder="1"/>
    <xf numFmtId="0" fontId="20" fillId="0" borderId="0" xfId="0" applyFont="1"/>
    <xf numFmtId="0" fontId="19" fillId="0" borderId="1" xfId="0" applyFont="1" applyBorder="1"/>
    <xf numFmtId="0" fontId="0" fillId="0" borderId="1" xfId="0" applyBorder="1" applyAlignment="1">
      <alignment horizontal="center" wrapText="1"/>
    </xf>
    <xf numFmtId="0" fontId="21" fillId="0" borderId="0" xfId="0" applyFont="1"/>
    <xf numFmtId="0" fontId="0" fillId="0" borderId="12" xfId="0" applyBorder="1"/>
    <xf numFmtId="44" fontId="0" fillId="0" borderId="13" xfId="0" applyNumberFormat="1" applyBorder="1"/>
    <xf numFmtId="0" fontId="0" fillId="0" borderId="14" xfId="0" applyBorder="1"/>
    <xf numFmtId="44" fontId="0" fillId="0" borderId="15" xfId="0" applyNumberFormat="1" applyBorder="1"/>
    <xf numFmtId="0" fontId="0" fillId="0" borderId="16" xfId="0" applyBorder="1"/>
    <xf numFmtId="44" fontId="0" fillId="0" borderId="17" xfId="0" applyNumberFormat="1" applyBorder="1"/>
    <xf numFmtId="0" fontId="2" fillId="4" borderId="1" xfId="0" applyFont="1" applyFill="1" applyBorder="1"/>
    <xf numFmtId="0" fontId="2" fillId="5" borderId="1" xfId="0" applyFont="1" applyFill="1" applyBorder="1"/>
    <xf numFmtId="0" fontId="11" fillId="6" borderId="1" xfId="0" applyFont="1" applyFill="1" applyBorder="1"/>
    <xf numFmtId="44" fontId="11" fillId="6" borderId="0" xfId="2" applyFont="1" applyFill="1"/>
    <xf numFmtId="0" fontId="2" fillId="6" borderId="0" xfId="0" applyFont="1" applyFill="1"/>
    <xf numFmtId="44" fontId="2" fillId="6" borderId="0" xfId="0" applyNumberFormat="1" applyFont="1" applyFill="1"/>
    <xf numFmtId="2" fontId="20" fillId="0" borderId="0" xfId="0" applyNumberFormat="1" applyFont="1"/>
    <xf numFmtId="165" fontId="20" fillId="0" borderId="0" xfId="0" applyNumberFormat="1" applyFont="1"/>
    <xf numFmtId="44" fontId="20" fillId="0" borderId="0" xfId="2" applyFont="1"/>
    <xf numFmtId="14" fontId="0" fillId="0" borderId="0" xfId="0" applyNumberFormat="1"/>
    <xf numFmtId="49" fontId="0" fillId="0" borderId="0" xfId="0" applyNumberFormat="1"/>
    <xf numFmtId="49" fontId="0" fillId="0" borderId="0" xfId="2" applyNumberFormat="1" applyFont="1"/>
    <xf numFmtId="2" fontId="0" fillId="0" borderId="0" xfId="0" applyNumberFormat="1"/>
    <xf numFmtId="2" fontId="0" fillId="0" borderId="0" xfId="2" applyNumberFormat="1" applyFont="1"/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2" fillId="0" borderId="1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18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6">
    <cellStyle name="Currency" xfId="2" builtinId="4"/>
    <cellStyle name="Good" xfId="1" builtinId="26"/>
    <cellStyle name="Heading 3" xfId="3" builtinId="18"/>
    <cellStyle name="Normal" xfId="0" builtinId="0"/>
    <cellStyle name="Percent" xfId="5" builtinId="5"/>
    <cellStyle name="Total" xfId="4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55"/>
  <sheetViews>
    <sheetView topLeftCell="A7" workbookViewId="0">
      <selection activeCell="F42" sqref="F42"/>
    </sheetView>
  </sheetViews>
  <sheetFormatPr defaultColWidth="9.1796875" defaultRowHeight="14.5" x14ac:dyDescent="0.35"/>
  <cols>
    <col min="1" max="1" width="8.1796875" customWidth="1"/>
    <col min="2" max="2" width="52.1796875" customWidth="1"/>
    <col min="3" max="3" width="11.453125" customWidth="1"/>
    <col min="4" max="5" width="11.7265625" customWidth="1"/>
    <col min="6" max="6" width="28.81640625" customWidth="1"/>
    <col min="7" max="7" width="9" customWidth="1"/>
    <col min="8" max="8" width="38.81640625" customWidth="1"/>
    <col min="9" max="9" width="13.1796875" customWidth="1"/>
    <col min="10" max="10" width="10" bestFit="1" customWidth="1"/>
    <col min="11" max="11" width="11.26953125" bestFit="1" customWidth="1"/>
    <col min="12" max="12" width="12.1796875" bestFit="1" customWidth="1"/>
    <col min="13" max="13" width="10.26953125" bestFit="1" customWidth="1"/>
    <col min="14" max="14" width="11.453125" customWidth="1"/>
    <col min="15" max="15" width="9.1796875" style="7"/>
    <col min="17" max="17" width="16" customWidth="1"/>
    <col min="18" max="18" width="9.54296875" customWidth="1"/>
    <col min="20" max="20" width="15" customWidth="1"/>
  </cols>
  <sheetData>
    <row r="2" spans="2:20" ht="28.5" x14ac:dyDescent="0.65">
      <c r="B2" s="4" t="s">
        <v>1</v>
      </c>
      <c r="I2" s="8"/>
    </row>
    <row r="3" spans="2:20" ht="18" x14ac:dyDescent="0.4">
      <c r="B3" s="5" t="s">
        <v>2</v>
      </c>
    </row>
    <row r="4" spans="2:20" x14ac:dyDescent="0.35">
      <c r="B4" t="s">
        <v>3</v>
      </c>
    </row>
    <row r="5" spans="2:20" x14ac:dyDescent="0.35">
      <c r="B5" t="s">
        <v>4</v>
      </c>
      <c r="H5" s="23" t="s">
        <v>110</v>
      </c>
    </row>
    <row r="6" spans="2:20" x14ac:dyDescent="0.35">
      <c r="B6" t="s">
        <v>13</v>
      </c>
      <c r="H6" s="32" t="s">
        <v>111</v>
      </c>
      <c r="N6" s="7"/>
    </row>
    <row r="7" spans="2:20" x14ac:dyDescent="0.35">
      <c r="B7" t="s">
        <v>5</v>
      </c>
      <c r="H7" s="24"/>
    </row>
    <row r="9" spans="2:20" ht="18.5" x14ac:dyDescent="0.45">
      <c r="B9" s="77" t="s">
        <v>26</v>
      </c>
      <c r="C9" s="77"/>
      <c r="D9" s="77"/>
      <c r="E9" s="77"/>
      <c r="H9" s="22"/>
    </row>
    <row r="10" spans="2:20" x14ac:dyDescent="0.35">
      <c r="B10" s="78" t="s">
        <v>109</v>
      </c>
      <c r="C10" s="78"/>
      <c r="D10" s="79">
        <v>42706</v>
      </c>
      <c r="E10" s="80"/>
      <c r="H10" s="25"/>
      <c r="O10" s="81"/>
      <c r="P10" s="81"/>
      <c r="Q10" s="81"/>
      <c r="R10" s="81"/>
      <c r="S10" s="81"/>
      <c r="T10" s="81"/>
    </row>
    <row r="11" spans="2:20" ht="10.5" customHeight="1" x14ac:dyDescent="0.35">
      <c r="M11" s="82"/>
      <c r="N11" s="82"/>
      <c r="O11" s="19"/>
      <c r="P11" s="19"/>
      <c r="Q11" s="19"/>
      <c r="R11" s="19"/>
      <c r="S11" s="19"/>
      <c r="T11" s="19"/>
    </row>
    <row r="12" spans="2:20" s="2" customFormat="1" ht="25.5" customHeight="1" x14ac:dyDescent="0.35">
      <c r="B12" s="21" t="s">
        <v>6</v>
      </c>
      <c r="C12" s="21" t="s">
        <v>0</v>
      </c>
      <c r="D12" s="21" t="s">
        <v>7</v>
      </c>
      <c r="E12" s="21" t="s">
        <v>8</v>
      </c>
      <c r="F12" s="20"/>
      <c r="G12" s="20"/>
      <c r="H12" s="76"/>
      <c r="I12" s="76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spans="2:20" x14ac:dyDescent="0.35">
      <c r="B13" s="6"/>
      <c r="C13" s="6"/>
      <c r="D13" s="6"/>
      <c r="E13" s="6"/>
    </row>
    <row r="14" spans="2:20" x14ac:dyDescent="0.35">
      <c r="B14" t="s">
        <v>114</v>
      </c>
      <c r="E14" s="13">
        <f>I41</f>
        <v>9054.5234999999993</v>
      </c>
      <c r="H14" s="83" t="s">
        <v>14</v>
      </c>
      <c r="I14" s="84"/>
    </row>
    <row r="15" spans="2:20" ht="15" customHeight="1" x14ac:dyDescent="0.35">
      <c r="B15" s="6" t="s">
        <v>102</v>
      </c>
      <c r="C15" s="6"/>
      <c r="D15" s="6"/>
      <c r="E15" s="12"/>
      <c r="H15" s="85"/>
      <c r="I15" s="86"/>
    </row>
    <row r="16" spans="2:20" ht="16" thickBot="1" x14ac:dyDescent="0.4">
      <c r="B16" t="s">
        <v>107</v>
      </c>
      <c r="H16" s="14" t="s">
        <v>15</v>
      </c>
      <c r="I16" s="15"/>
    </row>
    <row r="17" spans="2:16" ht="15.5" x14ac:dyDescent="0.35">
      <c r="B17" s="6" t="s">
        <v>103</v>
      </c>
      <c r="C17" s="6"/>
      <c r="D17" s="6"/>
      <c r="E17" s="12"/>
      <c r="H17" s="16" t="s">
        <v>16</v>
      </c>
      <c r="I17" s="16">
        <v>2041</v>
      </c>
    </row>
    <row r="18" spans="2:16" ht="15.5" x14ac:dyDescent="0.35">
      <c r="B18" t="s">
        <v>101</v>
      </c>
      <c r="E18" s="13"/>
      <c r="H18" s="16" t="s">
        <v>25</v>
      </c>
      <c r="I18" s="16">
        <v>1434</v>
      </c>
    </row>
    <row r="19" spans="2:16" ht="16" thickBot="1" x14ac:dyDescent="0.4">
      <c r="B19" s="6" t="s">
        <v>108</v>
      </c>
      <c r="C19" s="6"/>
      <c r="D19" s="31"/>
      <c r="E19" s="12"/>
      <c r="H19" s="17" t="s">
        <v>17</v>
      </c>
      <c r="I19" s="17">
        <f>SUM(I17:I18)</f>
        <v>3475</v>
      </c>
    </row>
    <row r="20" spans="2:16" ht="16" thickTop="1" x14ac:dyDescent="0.35">
      <c r="E20" s="13"/>
      <c r="H20" s="16"/>
      <c r="I20" s="16"/>
    </row>
    <row r="21" spans="2:16" ht="15.5" x14ac:dyDescent="0.35">
      <c r="B21" s="6"/>
      <c r="C21" s="6"/>
      <c r="D21" s="6"/>
      <c r="E21" s="12"/>
      <c r="H21" s="16" t="s">
        <v>18</v>
      </c>
      <c r="I21" s="16">
        <v>111</v>
      </c>
    </row>
    <row r="22" spans="2:16" ht="15.5" x14ac:dyDescent="0.35">
      <c r="B22" t="s">
        <v>140</v>
      </c>
      <c r="E22" s="13">
        <f>'Framing Material Estimator'!K54</f>
        <v>7782.3985000000011</v>
      </c>
      <c r="H22" s="16" t="s">
        <v>19</v>
      </c>
      <c r="I22" s="16"/>
      <c r="P22" s="7"/>
    </row>
    <row r="23" spans="2:16" ht="15.5" x14ac:dyDescent="0.35">
      <c r="B23" s="6"/>
      <c r="C23" s="6"/>
      <c r="D23" s="6"/>
      <c r="E23" s="12"/>
      <c r="H23" s="16" t="s">
        <v>20</v>
      </c>
      <c r="I23" s="16">
        <v>0</v>
      </c>
    </row>
    <row r="24" spans="2:16" ht="15.5" x14ac:dyDescent="0.35">
      <c r="E24" s="13"/>
      <c r="H24" s="16" t="s">
        <v>112</v>
      </c>
      <c r="I24" s="16">
        <v>172</v>
      </c>
    </row>
    <row r="25" spans="2:16" ht="15.5" x14ac:dyDescent="0.35">
      <c r="B25" s="6"/>
      <c r="C25" s="6"/>
      <c r="D25" s="6"/>
      <c r="E25" s="12"/>
      <c r="H25" s="16" t="s">
        <v>21</v>
      </c>
      <c r="I25" s="16">
        <v>431</v>
      </c>
    </row>
    <row r="26" spans="2:16" ht="16" thickBot="1" x14ac:dyDescent="0.4">
      <c r="B26" s="7"/>
      <c r="E26" s="13"/>
      <c r="H26" s="17" t="s">
        <v>22</v>
      </c>
      <c r="I26" s="17">
        <f>SUM(I21:I25)</f>
        <v>714</v>
      </c>
    </row>
    <row r="27" spans="2:16" ht="16" thickTop="1" x14ac:dyDescent="0.35">
      <c r="B27" s="6"/>
      <c r="C27" s="6"/>
      <c r="D27" s="6"/>
      <c r="E27" s="12"/>
      <c r="H27" s="16"/>
      <c r="I27" s="16"/>
    </row>
    <row r="28" spans="2:16" ht="16" thickBot="1" x14ac:dyDescent="0.4">
      <c r="E28" s="13"/>
      <c r="H28" s="17" t="s">
        <v>23</v>
      </c>
      <c r="I28" s="17">
        <f>I19+I26</f>
        <v>4189</v>
      </c>
    </row>
    <row r="29" spans="2:16" ht="15" thickTop="1" x14ac:dyDescent="0.35">
      <c r="B29" s="6"/>
      <c r="C29" s="6"/>
      <c r="D29" s="6"/>
      <c r="E29" s="12"/>
    </row>
    <row r="30" spans="2:16" x14ac:dyDescent="0.35">
      <c r="E30" s="13"/>
    </row>
    <row r="31" spans="2:16" x14ac:dyDescent="0.35">
      <c r="B31" s="6"/>
      <c r="C31" s="6"/>
      <c r="D31" s="6"/>
      <c r="E31" s="12"/>
      <c r="H31" t="s">
        <v>113</v>
      </c>
      <c r="I31">
        <v>1.65</v>
      </c>
    </row>
    <row r="32" spans="2:16" x14ac:dyDescent="0.35">
      <c r="B32" s="7"/>
      <c r="E32" s="13"/>
      <c r="H32" t="s">
        <v>105</v>
      </c>
      <c r="I32" s="9"/>
    </row>
    <row r="33" spans="2:17" x14ac:dyDescent="0.35">
      <c r="B33" s="6"/>
      <c r="C33" s="6"/>
      <c r="D33" s="6"/>
      <c r="E33" s="12"/>
      <c r="H33" t="s">
        <v>104</v>
      </c>
    </row>
    <row r="34" spans="2:17" x14ac:dyDescent="0.35">
      <c r="H34" t="s">
        <v>106</v>
      </c>
      <c r="I34" s="9"/>
    </row>
    <row r="35" spans="2:17" x14ac:dyDescent="0.35">
      <c r="B35" s="10" t="s">
        <v>99</v>
      </c>
      <c r="C35" s="6"/>
      <c r="D35" s="6"/>
      <c r="E35" s="6"/>
    </row>
    <row r="36" spans="2:17" x14ac:dyDescent="0.35">
      <c r="B36" s="11" t="s">
        <v>100</v>
      </c>
    </row>
    <row r="37" spans="2:17" x14ac:dyDescent="0.35">
      <c r="B37" s="10"/>
      <c r="C37" s="6"/>
      <c r="D37" s="6"/>
      <c r="E37" s="6"/>
      <c r="H37" t="s">
        <v>133</v>
      </c>
      <c r="I37" s="36">
        <f>I31*I28</f>
        <v>6911.8499999999995</v>
      </c>
    </row>
    <row r="38" spans="2:17" x14ac:dyDescent="0.35">
      <c r="B38" s="11"/>
      <c r="H38" t="s">
        <v>134</v>
      </c>
      <c r="I38" s="35">
        <f>I37*J38</f>
        <v>1382.37</v>
      </c>
      <c r="J38" s="34">
        <v>0.2</v>
      </c>
    </row>
    <row r="39" spans="2:17" x14ac:dyDescent="0.35">
      <c r="B39" s="6"/>
      <c r="C39" s="6"/>
      <c r="D39" s="6"/>
      <c r="E39" s="6"/>
      <c r="H39" s="9" t="s">
        <v>139</v>
      </c>
      <c r="I39" s="35">
        <f>I37*J39</f>
        <v>276.47399999999999</v>
      </c>
      <c r="J39" s="34">
        <v>0.04</v>
      </c>
    </row>
    <row r="40" spans="2:17" x14ac:dyDescent="0.35">
      <c r="H40" t="s">
        <v>141</v>
      </c>
      <c r="I40" s="35">
        <f>I37*J40</f>
        <v>483.8295</v>
      </c>
      <c r="J40" s="34">
        <v>7.0000000000000007E-2</v>
      </c>
    </row>
    <row r="41" spans="2:17" ht="16" thickBot="1" x14ac:dyDescent="0.4">
      <c r="C41" s="87" t="s">
        <v>9</v>
      </c>
      <c r="D41" s="87"/>
      <c r="E41" s="26">
        <f>SUM(E13:E40)</f>
        <v>16836.921999999999</v>
      </c>
      <c r="I41" s="41">
        <f>SUM(I37:I40)</f>
        <v>9054.5234999999993</v>
      </c>
    </row>
    <row r="42" spans="2:17" ht="15" thickTop="1" x14ac:dyDescent="0.35">
      <c r="C42" s="87" t="s">
        <v>10</v>
      </c>
      <c r="D42" s="87"/>
      <c r="E42" s="18">
        <v>0</v>
      </c>
      <c r="Q42" s="7"/>
    </row>
    <row r="43" spans="2:17" x14ac:dyDescent="0.35">
      <c r="C43" s="87" t="s">
        <v>11</v>
      </c>
      <c r="D43" s="87"/>
      <c r="E43" s="18">
        <v>0</v>
      </c>
      <c r="Q43" s="7"/>
    </row>
    <row r="44" spans="2:17" x14ac:dyDescent="0.35">
      <c r="B44" s="3" t="s">
        <v>12</v>
      </c>
      <c r="C44" s="88" t="s">
        <v>8</v>
      </c>
      <c r="D44" s="88"/>
      <c r="E44" s="27">
        <f>SUM(E41:E43)</f>
        <v>16836.921999999999</v>
      </c>
      <c r="K44" s="9"/>
      <c r="Q44" s="7"/>
    </row>
    <row r="45" spans="2:17" x14ac:dyDescent="0.35">
      <c r="P45" s="7"/>
    </row>
    <row r="46" spans="2:17" x14ac:dyDescent="0.35">
      <c r="B46" s="3" t="s">
        <v>24</v>
      </c>
    </row>
    <row r="47" spans="2:17" x14ac:dyDescent="0.35">
      <c r="B47" s="1"/>
    </row>
    <row r="48" spans="2:17" x14ac:dyDescent="0.35">
      <c r="P48" s="7"/>
    </row>
    <row r="51" spans="2:16" x14ac:dyDescent="0.35">
      <c r="P51" s="7"/>
    </row>
    <row r="55" spans="2:16" x14ac:dyDescent="0.35">
      <c r="B55" s="1"/>
    </row>
  </sheetData>
  <mergeCells count="11">
    <mergeCell ref="H14:I15"/>
    <mergeCell ref="C41:D41"/>
    <mergeCell ref="C42:D42"/>
    <mergeCell ref="C43:D43"/>
    <mergeCell ref="C44:D44"/>
    <mergeCell ref="H12:I12"/>
    <mergeCell ref="B9:E9"/>
    <mergeCell ref="B10:C10"/>
    <mergeCell ref="D10:E10"/>
    <mergeCell ref="O10:T10"/>
    <mergeCell ref="M11:N11"/>
  </mergeCells>
  <pageMargins left="0.7" right="0.7" top="0.75" bottom="0.75" header="0.3" footer="0.3"/>
  <pageSetup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K55"/>
  <sheetViews>
    <sheetView workbookViewId="0">
      <selection activeCell="K56" sqref="K56"/>
    </sheetView>
  </sheetViews>
  <sheetFormatPr defaultRowHeight="14.5" x14ac:dyDescent="0.35"/>
  <cols>
    <col min="1" max="1" width="29.26953125" bestFit="1" customWidth="1"/>
    <col min="2" max="2" width="11.54296875" customWidth="1"/>
    <col min="4" max="4" width="30.1796875" bestFit="1" customWidth="1"/>
    <col min="9" max="9" width="47.81640625" customWidth="1"/>
    <col min="11" max="11" width="12.453125" customWidth="1"/>
  </cols>
  <sheetData>
    <row r="6" spans="1:11" x14ac:dyDescent="0.35">
      <c r="A6" s="7" t="s">
        <v>32</v>
      </c>
      <c r="I6" t="s">
        <v>65</v>
      </c>
      <c r="J6" t="s">
        <v>64</v>
      </c>
      <c r="K6" t="s">
        <v>8</v>
      </c>
    </row>
    <row r="7" spans="1:11" x14ac:dyDescent="0.35">
      <c r="A7" s="7" t="s">
        <v>33</v>
      </c>
      <c r="I7" s="7" t="s">
        <v>33</v>
      </c>
    </row>
    <row r="8" spans="1:11" x14ac:dyDescent="0.35">
      <c r="A8" t="s">
        <v>34</v>
      </c>
      <c r="B8">
        <v>410</v>
      </c>
      <c r="C8" t="s">
        <v>35</v>
      </c>
      <c r="D8" t="s">
        <v>53</v>
      </c>
      <c r="E8">
        <f>ROUNDUP((B8*2)/10,0)</f>
        <v>82</v>
      </c>
      <c r="I8" t="s">
        <v>66</v>
      </c>
      <c r="J8">
        <v>1.05</v>
      </c>
      <c r="K8">
        <f>E9*J8</f>
        <v>430.5</v>
      </c>
    </row>
    <row r="9" spans="1:11" x14ac:dyDescent="0.35">
      <c r="D9" t="s">
        <v>36</v>
      </c>
      <c r="E9">
        <f>B8</f>
        <v>410</v>
      </c>
      <c r="I9" t="s">
        <v>69</v>
      </c>
      <c r="J9">
        <v>3.15</v>
      </c>
      <c r="K9">
        <f>(E8+E10+E11)*J9</f>
        <v>601.65</v>
      </c>
    </row>
    <row r="10" spans="1:11" x14ac:dyDescent="0.35">
      <c r="A10" t="s">
        <v>38</v>
      </c>
      <c r="B10">
        <f>15+16</f>
        <v>31</v>
      </c>
      <c r="C10" t="s">
        <v>37</v>
      </c>
      <c r="D10" t="s">
        <v>40</v>
      </c>
      <c r="E10">
        <f>B10*3</f>
        <v>93</v>
      </c>
      <c r="K10">
        <f t="shared" ref="K10:K21" si="0">E12*J10</f>
        <v>0</v>
      </c>
    </row>
    <row r="11" spans="1:11" x14ac:dyDescent="0.35">
      <c r="A11" t="s">
        <v>39</v>
      </c>
      <c r="B11">
        <f>3+1</f>
        <v>4</v>
      </c>
      <c r="C11" t="s">
        <v>37</v>
      </c>
      <c r="D11" t="s">
        <v>41</v>
      </c>
      <c r="E11">
        <f>B11*4</f>
        <v>16</v>
      </c>
      <c r="K11">
        <f t="shared" si="0"/>
        <v>0</v>
      </c>
    </row>
    <row r="12" spans="1:11" x14ac:dyDescent="0.35">
      <c r="K12">
        <f t="shared" si="0"/>
        <v>0</v>
      </c>
    </row>
    <row r="13" spans="1:11" x14ac:dyDescent="0.35">
      <c r="K13">
        <f t="shared" si="0"/>
        <v>0</v>
      </c>
    </row>
    <row r="14" spans="1:11" x14ac:dyDescent="0.35">
      <c r="A14" s="7" t="s">
        <v>42</v>
      </c>
      <c r="I14" s="7" t="s">
        <v>42</v>
      </c>
      <c r="K14">
        <f t="shared" si="0"/>
        <v>0</v>
      </c>
    </row>
    <row r="15" spans="1:11" x14ac:dyDescent="0.35">
      <c r="A15" s="7" t="s">
        <v>43</v>
      </c>
      <c r="B15">
        <v>270</v>
      </c>
      <c r="C15" t="s">
        <v>35</v>
      </c>
      <c r="D15" t="s">
        <v>54</v>
      </c>
      <c r="E15">
        <f>ROUNDUP((B15*2)/10,0)</f>
        <v>54</v>
      </c>
      <c r="I15" t="s">
        <v>70</v>
      </c>
      <c r="J15">
        <v>4</v>
      </c>
      <c r="K15">
        <f>E15*J15</f>
        <v>216</v>
      </c>
    </row>
    <row r="16" spans="1:11" x14ac:dyDescent="0.35">
      <c r="D16" t="s">
        <v>52</v>
      </c>
      <c r="E16">
        <f>B15</f>
        <v>270</v>
      </c>
      <c r="I16" t="s">
        <v>71</v>
      </c>
      <c r="J16">
        <v>5</v>
      </c>
      <c r="K16">
        <f>E16*J16</f>
        <v>1350</v>
      </c>
    </row>
    <row r="17" spans="1:11" x14ac:dyDescent="0.35">
      <c r="A17" t="s">
        <v>44</v>
      </c>
      <c r="B17">
        <v>50</v>
      </c>
      <c r="C17" t="s">
        <v>35</v>
      </c>
      <c r="D17" t="s">
        <v>55</v>
      </c>
      <c r="E17">
        <f>ROUNDUP((B17*2)/10,0)</f>
        <v>10</v>
      </c>
      <c r="I17" t="s">
        <v>72</v>
      </c>
      <c r="J17">
        <v>6</v>
      </c>
      <c r="K17">
        <f>E17*J17</f>
        <v>60</v>
      </c>
    </row>
    <row r="18" spans="1:11" x14ac:dyDescent="0.35">
      <c r="D18" t="s">
        <v>52</v>
      </c>
      <c r="E18">
        <f>B17</f>
        <v>50</v>
      </c>
      <c r="I18" t="s">
        <v>73</v>
      </c>
      <c r="J18">
        <v>8</v>
      </c>
      <c r="K18">
        <f>E18*J18</f>
        <v>400</v>
      </c>
    </row>
    <row r="19" spans="1:11" x14ac:dyDescent="0.35">
      <c r="A19" t="s">
        <v>45</v>
      </c>
      <c r="B19">
        <v>16</v>
      </c>
      <c r="C19" t="s">
        <v>37</v>
      </c>
      <c r="D19" t="s">
        <v>56</v>
      </c>
      <c r="E19">
        <f>B19*4.5</f>
        <v>72</v>
      </c>
      <c r="I19" t="s">
        <v>74</v>
      </c>
      <c r="J19">
        <v>4.0999999999999996</v>
      </c>
      <c r="K19">
        <f>E19*J19</f>
        <v>295.2</v>
      </c>
    </row>
    <row r="20" spans="1:11" x14ac:dyDescent="0.35">
      <c r="A20" t="s">
        <v>46</v>
      </c>
      <c r="B20">
        <v>5</v>
      </c>
      <c r="C20" t="s">
        <v>37</v>
      </c>
      <c r="I20" t="s">
        <v>81</v>
      </c>
      <c r="J20">
        <v>115</v>
      </c>
      <c r="K20">
        <f>J20*B20</f>
        <v>575</v>
      </c>
    </row>
    <row r="21" spans="1:11" x14ac:dyDescent="0.35">
      <c r="K21">
        <f t="shared" si="0"/>
        <v>0</v>
      </c>
    </row>
    <row r="22" spans="1:11" x14ac:dyDescent="0.35">
      <c r="A22" t="s">
        <v>96</v>
      </c>
      <c r="C22">
        <v>10</v>
      </c>
      <c r="D22" t="s">
        <v>97</v>
      </c>
      <c r="E22">
        <f>B22*C22</f>
        <v>0</v>
      </c>
      <c r="I22" t="s">
        <v>98</v>
      </c>
      <c r="J22">
        <v>0</v>
      </c>
      <c r="K22">
        <f>J22*(E22)</f>
        <v>0</v>
      </c>
    </row>
    <row r="25" spans="1:11" x14ac:dyDescent="0.35">
      <c r="A25" s="7" t="s">
        <v>47</v>
      </c>
      <c r="E25" t="s">
        <v>62</v>
      </c>
      <c r="F25" t="s">
        <v>83</v>
      </c>
      <c r="G25" t="s">
        <v>84</v>
      </c>
      <c r="I25" s="7" t="s">
        <v>47</v>
      </c>
    </row>
    <row r="26" spans="1:11" x14ac:dyDescent="0.35">
      <c r="A26" s="7" t="s">
        <v>48</v>
      </c>
      <c r="E26">
        <f>SUM(E27:E43)</f>
        <v>60</v>
      </c>
      <c r="F26">
        <f>SUM(F27:F43)</f>
        <v>420</v>
      </c>
      <c r="G26">
        <f>SUM(G27:G40)+12</f>
        <v>64</v>
      </c>
      <c r="I26" t="s">
        <v>75</v>
      </c>
      <c r="J26">
        <v>2.65</v>
      </c>
      <c r="K26">
        <f>J26*E26</f>
        <v>159</v>
      </c>
    </row>
    <row r="27" spans="1:11" x14ac:dyDescent="0.35">
      <c r="A27" t="s">
        <v>27</v>
      </c>
      <c r="E27">
        <f t="shared" ref="E27:E32" si="1">ROUNDUP((B27*2)/10,0)</f>
        <v>0</v>
      </c>
      <c r="F27">
        <f t="shared" ref="F27:F32" si="2">ROUNDUP((C27/10)*B27,0)</f>
        <v>0</v>
      </c>
      <c r="G27">
        <f t="shared" ref="G27:G40" si="3">ROUNDUP(((B27-2)+(C27-2))*2/10,0)</f>
        <v>-1</v>
      </c>
      <c r="I27" t="s">
        <v>76</v>
      </c>
      <c r="J27" s="22">
        <v>2.5</v>
      </c>
      <c r="K27">
        <f>F26*J27</f>
        <v>1050</v>
      </c>
    </row>
    <row r="28" spans="1:11" x14ac:dyDescent="0.35">
      <c r="A28" t="s">
        <v>28</v>
      </c>
      <c r="E28">
        <f t="shared" si="1"/>
        <v>0</v>
      </c>
      <c r="F28">
        <f t="shared" si="2"/>
        <v>0</v>
      </c>
      <c r="G28">
        <f t="shared" si="3"/>
        <v>-1</v>
      </c>
      <c r="I28" t="s">
        <v>77</v>
      </c>
      <c r="J28">
        <v>4</v>
      </c>
      <c r="K28">
        <f>G26*J28</f>
        <v>256</v>
      </c>
    </row>
    <row r="29" spans="1:11" x14ac:dyDescent="0.35">
      <c r="A29" t="s">
        <v>85</v>
      </c>
      <c r="E29">
        <f t="shared" si="1"/>
        <v>0</v>
      </c>
      <c r="F29">
        <f t="shared" si="2"/>
        <v>0</v>
      </c>
      <c r="G29">
        <f t="shared" si="3"/>
        <v>-1</v>
      </c>
    </row>
    <row r="30" spans="1:11" x14ac:dyDescent="0.35">
      <c r="A30" t="s">
        <v>86</v>
      </c>
      <c r="E30">
        <f t="shared" si="1"/>
        <v>0</v>
      </c>
      <c r="F30">
        <f t="shared" si="2"/>
        <v>0</v>
      </c>
      <c r="G30">
        <f t="shared" si="3"/>
        <v>-1</v>
      </c>
      <c r="I30" t="s">
        <v>82</v>
      </c>
      <c r="J30">
        <v>27</v>
      </c>
      <c r="K30">
        <f>J30*B42</f>
        <v>0</v>
      </c>
    </row>
    <row r="31" spans="1:11" x14ac:dyDescent="0.35">
      <c r="A31" t="s">
        <v>87</v>
      </c>
      <c r="E31">
        <f t="shared" si="1"/>
        <v>0</v>
      </c>
      <c r="F31">
        <f t="shared" si="2"/>
        <v>0</v>
      </c>
      <c r="G31">
        <f t="shared" si="3"/>
        <v>-1</v>
      </c>
    </row>
    <row r="32" spans="1:11" x14ac:dyDescent="0.35">
      <c r="A32" t="s">
        <v>88</v>
      </c>
      <c r="B32">
        <v>150</v>
      </c>
      <c r="C32">
        <v>14</v>
      </c>
      <c r="E32">
        <f t="shared" si="1"/>
        <v>30</v>
      </c>
      <c r="F32">
        <f t="shared" si="2"/>
        <v>210</v>
      </c>
      <c r="G32">
        <f t="shared" si="3"/>
        <v>32</v>
      </c>
    </row>
    <row r="33" spans="1:11" x14ac:dyDescent="0.35">
      <c r="A33" t="s">
        <v>29</v>
      </c>
      <c r="B33">
        <v>150</v>
      </c>
      <c r="C33">
        <v>14</v>
      </c>
      <c r="E33">
        <f t="shared" ref="E33:E38" si="4">ROUNDUP((B33*2)/10,0)</f>
        <v>30</v>
      </c>
      <c r="F33">
        <f t="shared" ref="F33:F38" si="5">ROUNDUP((C33/10)*B33,0)</f>
        <v>210</v>
      </c>
      <c r="G33">
        <f t="shared" si="3"/>
        <v>32</v>
      </c>
    </row>
    <row r="34" spans="1:11" x14ac:dyDescent="0.35">
      <c r="A34" t="s">
        <v>89</v>
      </c>
      <c r="E34">
        <f t="shared" si="4"/>
        <v>0</v>
      </c>
      <c r="F34">
        <f t="shared" si="5"/>
        <v>0</v>
      </c>
      <c r="G34">
        <f t="shared" si="3"/>
        <v>-1</v>
      </c>
    </row>
    <row r="35" spans="1:11" x14ac:dyDescent="0.35">
      <c r="A35" t="s">
        <v>90</v>
      </c>
      <c r="E35">
        <f t="shared" si="4"/>
        <v>0</v>
      </c>
      <c r="F35">
        <f t="shared" si="5"/>
        <v>0</v>
      </c>
      <c r="G35">
        <f t="shared" si="3"/>
        <v>-1</v>
      </c>
    </row>
    <row r="36" spans="1:11" x14ac:dyDescent="0.35">
      <c r="A36" t="s">
        <v>91</v>
      </c>
      <c r="E36">
        <f t="shared" si="4"/>
        <v>0</v>
      </c>
      <c r="F36">
        <f t="shared" si="5"/>
        <v>0</v>
      </c>
      <c r="G36">
        <f t="shared" si="3"/>
        <v>-1</v>
      </c>
      <c r="I36" s="7" t="s">
        <v>49</v>
      </c>
    </row>
    <row r="37" spans="1:11" x14ac:dyDescent="0.35">
      <c r="A37" t="s">
        <v>92</v>
      </c>
      <c r="E37">
        <f t="shared" si="4"/>
        <v>0</v>
      </c>
      <c r="F37">
        <f t="shared" si="5"/>
        <v>0</v>
      </c>
      <c r="G37">
        <f t="shared" si="3"/>
        <v>-1</v>
      </c>
      <c r="I37" t="s">
        <v>71</v>
      </c>
      <c r="J37">
        <v>4.75</v>
      </c>
      <c r="K37">
        <f>J37*E46</f>
        <v>0</v>
      </c>
    </row>
    <row r="38" spans="1:11" x14ac:dyDescent="0.35">
      <c r="A38" t="s">
        <v>93</v>
      </c>
      <c r="E38">
        <f t="shared" si="4"/>
        <v>0</v>
      </c>
      <c r="F38">
        <f t="shared" si="5"/>
        <v>0</v>
      </c>
      <c r="G38">
        <f t="shared" si="3"/>
        <v>-1</v>
      </c>
      <c r="I38" t="s">
        <v>79</v>
      </c>
      <c r="J38">
        <v>3.36</v>
      </c>
      <c r="K38">
        <f>J38*E47</f>
        <v>0</v>
      </c>
    </row>
    <row r="39" spans="1:11" x14ac:dyDescent="0.35">
      <c r="A39" t="s">
        <v>94</v>
      </c>
      <c r="E39">
        <f>ROUNDUP((B39*2)/10,0)</f>
        <v>0</v>
      </c>
      <c r="F39">
        <f>ROUNDUP((C39/10)*B39,0)</f>
        <v>0</v>
      </c>
      <c r="G39">
        <f t="shared" si="3"/>
        <v>-1</v>
      </c>
    </row>
    <row r="40" spans="1:11" x14ac:dyDescent="0.35">
      <c r="A40" t="s">
        <v>95</v>
      </c>
      <c r="E40">
        <f>ROUNDUP((B40*2)/10,0)</f>
        <v>0</v>
      </c>
      <c r="F40">
        <f>ROUNDUP((C40/10)*B40,0)</f>
        <v>0</v>
      </c>
      <c r="G40">
        <f t="shared" si="3"/>
        <v>-1</v>
      </c>
    </row>
    <row r="42" spans="1:11" x14ac:dyDescent="0.35">
      <c r="I42" s="7" t="s">
        <v>50</v>
      </c>
    </row>
    <row r="43" spans="1:11" x14ac:dyDescent="0.35">
      <c r="I43" t="s">
        <v>78</v>
      </c>
      <c r="J43">
        <v>6.5</v>
      </c>
      <c r="K43">
        <f>J43*E53</f>
        <v>91</v>
      </c>
    </row>
    <row r="45" spans="1:11" x14ac:dyDescent="0.35">
      <c r="A45" s="7" t="s">
        <v>49</v>
      </c>
    </row>
    <row r="46" spans="1:11" x14ac:dyDescent="0.35">
      <c r="A46" t="s">
        <v>58</v>
      </c>
      <c r="C46" t="s">
        <v>60</v>
      </c>
      <c r="D46" t="s">
        <v>63</v>
      </c>
      <c r="E46">
        <f>ROUNDUP((((E49/2)*E49)/12),-1)</f>
        <v>0</v>
      </c>
      <c r="I46" t="s">
        <v>80</v>
      </c>
      <c r="K46">
        <v>420</v>
      </c>
    </row>
    <row r="47" spans="1:11" x14ac:dyDescent="0.35">
      <c r="A47" t="s">
        <v>57</v>
      </c>
      <c r="D47" t="s">
        <v>59</v>
      </c>
      <c r="E47">
        <f>ROUNDUP((((E49/1.5)*E49)/16),-1)</f>
        <v>0</v>
      </c>
    </row>
    <row r="48" spans="1:11" x14ac:dyDescent="0.35">
      <c r="A48" t="s">
        <v>30</v>
      </c>
      <c r="I48" s="18" t="s">
        <v>67</v>
      </c>
      <c r="J48" s="18"/>
      <c r="K48" s="30">
        <f>SUM(K7:K47)</f>
        <v>5904.35</v>
      </c>
    </row>
    <row r="49" spans="1:11" x14ac:dyDescent="0.35">
      <c r="A49" t="s">
        <v>31</v>
      </c>
      <c r="E49">
        <f>ROUNDUP(SQRT(B46),0)</f>
        <v>0</v>
      </c>
      <c r="I49" s="18" t="s">
        <v>68</v>
      </c>
      <c r="J49" s="18"/>
      <c r="K49" s="30">
        <v>45</v>
      </c>
    </row>
    <row r="50" spans="1:11" x14ac:dyDescent="0.35">
      <c r="I50" s="18" t="s">
        <v>10</v>
      </c>
      <c r="J50" s="28">
        <v>5.9999999999999995E-4</v>
      </c>
      <c r="K50" s="30">
        <f>(K48+K49)*0.06</f>
        <v>356.96100000000001</v>
      </c>
    </row>
    <row r="51" spans="1:11" x14ac:dyDescent="0.35">
      <c r="I51" s="18" t="s">
        <v>137</v>
      </c>
      <c r="J51" s="29">
        <v>0.1</v>
      </c>
      <c r="K51" s="30">
        <f>K48*J51</f>
        <v>590.43500000000006</v>
      </c>
    </row>
    <row r="52" spans="1:11" x14ac:dyDescent="0.35">
      <c r="A52" s="7" t="s">
        <v>50</v>
      </c>
      <c r="I52" s="18" t="s">
        <v>139</v>
      </c>
      <c r="J52" s="39">
        <v>0.05</v>
      </c>
      <c r="K52" s="30">
        <f>K48*J52</f>
        <v>295.21750000000003</v>
      </c>
    </row>
    <row r="53" spans="1:11" x14ac:dyDescent="0.35">
      <c r="A53" t="s">
        <v>51</v>
      </c>
      <c r="B53">
        <v>140</v>
      </c>
      <c r="C53" t="s">
        <v>35</v>
      </c>
      <c r="D53" t="s">
        <v>61</v>
      </c>
      <c r="E53">
        <f>ROUNDUP(B53/10,0)</f>
        <v>14</v>
      </c>
      <c r="I53" s="18" t="s">
        <v>138</v>
      </c>
      <c r="J53" s="40">
        <v>0.1</v>
      </c>
      <c r="K53" s="30">
        <f>K48*J53</f>
        <v>590.43500000000006</v>
      </c>
    </row>
    <row r="54" spans="1:11" ht="15" thickBot="1" x14ac:dyDescent="0.4">
      <c r="I54" s="37" t="s">
        <v>23</v>
      </c>
      <c r="J54" s="37"/>
      <c r="K54" s="38">
        <f>SUM(K48:K53)</f>
        <v>7782.3985000000011</v>
      </c>
    </row>
    <row r="55" spans="1:11" ht="15" thickTop="1" x14ac:dyDescent="0.35"/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7"/>
  <sheetViews>
    <sheetView workbookViewId="0">
      <selection activeCell="M5" sqref="M5"/>
    </sheetView>
  </sheetViews>
  <sheetFormatPr defaultRowHeight="14.5" x14ac:dyDescent="0.35"/>
  <cols>
    <col min="1" max="1" width="34.81640625" customWidth="1"/>
  </cols>
  <sheetData>
    <row r="2" spans="1:14" s="7" customFormat="1" x14ac:dyDescent="0.35">
      <c r="A2" s="7" t="s">
        <v>119</v>
      </c>
      <c r="B2" s="7" t="s">
        <v>120</v>
      </c>
      <c r="C2" s="7" t="s">
        <v>123</v>
      </c>
      <c r="D2" s="7" t="s">
        <v>121</v>
      </c>
      <c r="E2" s="7" t="s">
        <v>123</v>
      </c>
      <c r="K2" s="7" t="s">
        <v>135</v>
      </c>
      <c r="L2" s="7" t="s">
        <v>136</v>
      </c>
      <c r="M2" s="7" t="s">
        <v>135</v>
      </c>
      <c r="N2" s="7" t="s">
        <v>136</v>
      </c>
    </row>
    <row r="3" spans="1:14" ht="38.25" customHeight="1" x14ac:dyDescent="0.35">
      <c r="A3" s="33" t="s">
        <v>115</v>
      </c>
      <c r="B3">
        <v>205</v>
      </c>
      <c r="C3">
        <v>11</v>
      </c>
      <c r="D3">
        <v>205</v>
      </c>
      <c r="E3">
        <v>10</v>
      </c>
      <c r="J3">
        <f>(B3*C3)+(D3*E3)</f>
        <v>4305</v>
      </c>
    </row>
    <row r="4" spans="1:14" x14ac:dyDescent="0.35">
      <c r="A4" t="s">
        <v>116</v>
      </c>
      <c r="B4">
        <v>53</v>
      </c>
      <c r="C4">
        <v>11</v>
      </c>
      <c r="D4">
        <v>0</v>
      </c>
      <c r="E4">
        <v>10</v>
      </c>
      <c r="J4">
        <f>(B4*C4)+(D4*E4)</f>
        <v>583</v>
      </c>
    </row>
    <row r="5" spans="1:14" x14ac:dyDescent="0.35">
      <c r="A5" t="s">
        <v>117</v>
      </c>
      <c r="B5">
        <v>140</v>
      </c>
      <c r="C5">
        <v>14</v>
      </c>
      <c r="D5">
        <v>124</v>
      </c>
      <c r="E5">
        <v>10</v>
      </c>
      <c r="J5">
        <f>(B5*C5)+(D5*E5)</f>
        <v>3200</v>
      </c>
      <c r="K5">
        <v>0.59</v>
      </c>
      <c r="L5">
        <v>1.04</v>
      </c>
      <c r="M5">
        <f>J5*K5</f>
        <v>1888</v>
      </c>
      <c r="N5">
        <f>J5*L5</f>
        <v>3328</v>
      </c>
    </row>
    <row r="6" spans="1:14" x14ac:dyDescent="0.35">
      <c r="A6" t="s">
        <v>118</v>
      </c>
      <c r="B6">
        <v>22</v>
      </c>
      <c r="C6">
        <v>14</v>
      </c>
      <c r="D6">
        <v>24</v>
      </c>
      <c r="E6">
        <v>10</v>
      </c>
      <c r="J6">
        <f>(B6*C6)+(D6*E6)</f>
        <v>548</v>
      </c>
      <c r="K6">
        <v>0.74</v>
      </c>
      <c r="L6">
        <v>1.36</v>
      </c>
      <c r="M6">
        <f>J6*K6</f>
        <v>405.52</v>
      </c>
      <c r="N6">
        <f>J6*L6</f>
        <v>745.28000000000009</v>
      </c>
    </row>
    <row r="8" spans="1:14" x14ac:dyDescent="0.35">
      <c r="A8" t="s">
        <v>122</v>
      </c>
      <c r="B8">
        <f>70+50+50+35+60+36</f>
        <v>301</v>
      </c>
      <c r="C8" t="s">
        <v>129</v>
      </c>
      <c r="D8">
        <v>200</v>
      </c>
      <c r="E8" t="s">
        <v>124</v>
      </c>
    </row>
    <row r="9" spans="1:14" x14ac:dyDescent="0.35">
      <c r="B9">
        <f>2041-325-303-200</f>
        <v>1213</v>
      </c>
      <c r="D9">
        <v>150</v>
      </c>
      <c r="E9" t="s">
        <v>125</v>
      </c>
    </row>
    <row r="11" spans="1:14" x14ac:dyDescent="0.35">
      <c r="A11" t="s">
        <v>126</v>
      </c>
      <c r="D11">
        <v>60</v>
      </c>
      <c r="E11" t="s">
        <v>128</v>
      </c>
    </row>
    <row r="14" spans="1:14" x14ac:dyDescent="0.35">
      <c r="A14" t="s">
        <v>127</v>
      </c>
      <c r="B14">
        <v>3</v>
      </c>
      <c r="D14">
        <v>2</v>
      </c>
    </row>
    <row r="15" spans="1:14" x14ac:dyDescent="0.35">
      <c r="A15" t="s">
        <v>130</v>
      </c>
      <c r="B15">
        <v>8</v>
      </c>
      <c r="D15">
        <v>8</v>
      </c>
    </row>
    <row r="16" spans="1:14" x14ac:dyDescent="0.35">
      <c r="A16" t="s">
        <v>131</v>
      </c>
      <c r="B16">
        <v>15</v>
      </c>
      <c r="D16">
        <v>16</v>
      </c>
    </row>
    <row r="17" spans="1:4" x14ac:dyDescent="0.35">
      <c r="A17" t="s">
        <v>132</v>
      </c>
      <c r="B17">
        <v>3</v>
      </c>
      <c r="D17">
        <v>1</v>
      </c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40"/>
  <sheetViews>
    <sheetView tabSelected="1" workbookViewId="0">
      <selection activeCell="B3" sqref="B3"/>
    </sheetView>
  </sheetViews>
  <sheetFormatPr defaultRowHeight="14.5" x14ac:dyDescent="0.35"/>
  <cols>
    <col min="1" max="1" width="19" customWidth="1"/>
    <col min="2" max="2" width="10" customWidth="1"/>
    <col min="3" max="3" width="12.36328125" customWidth="1"/>
    <col min="4" max="4" width="9.453125" bestFit="1" customWidth="1"/>
    <col min="5" max="5" width="12.6328125" customWidth="1"/>
    <col min="6" max="6" width="10.453125" customWidth="1"/>
    <col min="7" max="7" width="11" customWidth="1"/>
    <col min="8" max="8" width="9.26953125" bestFit="1" customWidth="1"/>
    <col min="9" max="9" width="1.26953125" customWidth="1"/>
    <col min="10" max="10" width="18.1796875" customWidth="1"/>
    <col min="11" max="11" width="10.26953125" customWidth="1"/>
    <col min="12" max="12" width="11.54296875" bestFit="1" customWidth="1"/>
    <col min="13" max="14" width="11.54296875" customWidth="1"/>
    <col min="15" max="15" width="12" bestFit="1" customWidth="1"/>
    <col min="16" max="17" width="10.54296875" customWidth="1"/>
  </cols>
  <sheetData>
    <row r="1" spans="1:20" ht="15.5" x14ac:dyDescent="0.35">
      <c r="J1" s="89" t="s">
        <v>202</v>
      </c>
      <c r="K1" s="89"/>
      <c r="L1" s="89"/>
      <c r="M1" s="89"/>
      <c r="N1" s="89"/>
      <c r="O1" s="89"/>
      <c r="P1" s="89"/>
      <c r="Q1" s="89"/>
      <c r="R1" s="89"/>
    </row>
    <row r="2" spans="1:20" s="7" customFormat="1" ht="25" customHeight="1" x14ac:dyDescent="0.35">
      <c r="A2" s="45" t="s">
        <v>149</v>
      </c>
      <c r="B2" s="45">
        <v>100</v>
      </c>
      <c r="J2" s="45" t="s">
        <v>156</v>
      </c>
      <c r="K2" s="48" t="s">
        <v>153</v>
      </c>
      <c r="L2" s="45" t="s">
        <v>154</v>
      </c>
      <c r="M2" s="45" t="s">
        <v>162</v>
      </c>
      <c r="N2" s="45" t="s">
        <v>160</v>
      </c>
      <c r="O2" s="45" t="s">
        <v>155</v>
      </c>
      <c r="P2" s="45" t="s">
        <v>167</v>
      </c>
      <c r="Q2" s="45" t="s">
        <v>166</v>
      </c>
      <c r="R2" s="45" t="s">
        <v>189</v>
      </c>
    </row>
    <row r="3" spans="1:20" s="7" customFormat="1" ht="25" customHeight="1" x14ac:dyDescent="0.35">
      <c r="A3" s="45" t="s">
        <v>150</v>
      </c>
      <c r="B3" s="61">
        <v>12</v>
      </c>
      <c r="J3" s="49" t="s">
        <v>159</v>
      </c>
      <c r="K3" s="51"/>
      <c r="L3" s="67">
        <v>0.46</v>
      </c>
      <c r="M3" s="51"/>
      <c r="N3" s="51"/>
      <c r="O3" s="51"/>
      <c r="P3" s="51"/>
      <c r="Q3" s="51"/>
      <c r="R3" s="51"/>
    </row>
    <row r="4" spans="1:20" s="7" customFormat="1" ht="25" customHeight="1" x14ac:dyDescent="0.35">
      <c r="A4" s="45" t="s">
        <v>151</v>
      </c>
      <c r="B4" s="45">
        <v>24</v>
      </c>
      <c r="J4" s="45" t="s">
        <v>158</v>
      </c>
      <c r="K4" s="51"/>
      <c r="L4" s="67">
        <v>0.62</v>
      </c>
      <c r="M4" s="51"/>
      <c r="N4" s="67"/>
      <c r="O4" s="67"/>
      <c r="P4" s="51"/>
      <c r="Q4" s="51"/>
      <c r="R4" s="51"/>
    </row>
    <row r="5" spans="1:20" s="7" customFormat="1" ht="25" customHeight="1" x14ac:dyDescent="0.35">
      <c r="A5" s="45" t="s">
        <v>152</v>
      </c>
      <c r="B5" s="62">
        <v>0.51</v>
      </c>
      <c r="J5" s="45" t="s">
        <v>157</v>
      </c>
      <c r="K5" s="51"/>
      <c r="L5" s="67">
        <v>0.86</v>
      </c>
      <c r="M5" s="51"/>
      <c r="N5" s="51"/>
      <c r="O5" s="67"/>
      <c r="P5" s="51"/>
      <c r="Q5" s="51"/>
      <c r="R5" s="51"/>
    </row>
    <row r="6" spans="1:20" s="7" customFormat="1" ht="25" customHeight="1" x14ac:dyDescent="0.35">
      <c r="A6" s="45" t="s">
        <v>201</v>
      </c>
      <c r="B6" s="50"/>
      <c r="C6" s="7" t="s">
        <v>197</v>
      </c>
      <c r="J6" s="45" t="s">
        <v>163</v>
      </c>
      <c r="K6" s="51"/>
      <c r="L6" s="51"/>
      <c r="M6" s="51"/>
      <c r="N6" s="51"/>
      <c r="O6" s="51"/>
      <c r="P6" s="51"/>
      <c r="Q6" s="51"/>
      <c r="R6" s="51"/>
    </row>
    <row r="7" spans="1:20" s="7" customFormat="1" ht="25" customHeight="1" x14ac:dyDescent="0.35">
      <c r="A7" s="46" t="s">
        <v>179</v>
      </c>
      <c r="B7" s="47">
        <v>0.2</v>
      </c>
      <c r="J7" s="45" t="s">
        <v>188</v>
      </c>
      <c r="K7" s="51"/>
      <c r="L7" s="51"/>
      <c r="M7" s="51"/>
      <c r="N7" s="51"/>
      <c r="O7" s="51"/>
      <c r="P7" s="51"/>
      <c r="Q7" s="51"/>
      <c r="R7" s="51"/>
    </row>
    <row r="8" spans="1:20" ht="25" customHeight="1" x14ac:dyDescent="0.35">
      <c r="A8" s="46" t="s">
        <v>200</v>
      </c>
      <c r="B8" s="50"/>
      <c r="C8" s="7">
        <v>0.65</v>
      </c>
      <c r="D8" s="7"/>
      <c r="E8" s="7"/>
      <c r="F8" s="7"/>
      <c r="G8" s="7"/>
      <c r="H8" s="7"/>
      <c r="J8" s="45" t="s">
        <v>161</v>
      </c>
      <c r="K8" s="51"/>
      <c r="L8" s="51"/>
      <c r="M8" s="51"/>
      <c r="N8" s="51"/>
      <c r="O8" s="51"/>
      <c r="P8" s="51"/>
      <c r="Q8" s="51"/>
      <c r="R8" s="51"/>
      <c r="S8" s="7"/>
      <c r="T8" s="7"/>
    </row>
    <row r="9" spans="1:20" ht="29" customHeight="1" x14ac:dyDescent="0.35">
      <c r="A9" s="18" t="s">
        <v>6</v>
      </c>
      <c r="B9" s="18" t="s">
        <v>142</v>
      </c>
      <c r="C9" s="18" t="s">
        <v>146</v>
      </c>
      <c r="D9" s="18" t="s">
        <v>145</v>
      </c>
      <c r="E9" s="53" t="s">
        <v>194</v>
      </c>
      <c r="F9" s="44" t="s">
        <v>171</v>
      </c>
      <c r="G9" s="18" t="s">
        <v>143</v>
      </c>
      <c r="H9" s="63" t="s">
        <v>144</v>
      </c>
      <c r="J9" s="45" t="s">
        <v>185</v>
      </c>
      <c r="K9" s="51"/>
      <c r="L9" s="51"/>
      <c r="M9" s="51"/>
      <c r="N9" s="51"/>
      <c r="O9" s="51"/>
      <c r="P9" s="51"/>
      <c r="Q9" s="51"/>
      <c r="R9" s="51"/>
    </row>
    <row r="10" spans="1:20" ht="15.5" x14ac:dyDescent="0.35">
      <c r="A10" t="s">
        <v>191</v>
      </c>
      <c r="B10" s="42">
        <f>B5</f>
        <v>0.51</v>
      </c>
      <c r="C10" s="42">
        <f>B10*B3</f>
        <v>6.12</v>
      </c>
      <c r="D10">
        <f>((B2*12)/B4)+1</f>
        <v>51</v>
      </c>
      <c r="E10">
        <f>(B2/10)*2</f>
        <v>20</v>
      </c>
      <c r="F10" s="43">
        <f>(B3/5)*(B2*B8)</f>
        <v>0</v>
      </c>
      <c r="G10" s="43">
        <f>SUM(B14:B20)</f>
        <v>414.12</v>
      </c>
      <c r="H10" s="64">
        <f>(G10/B2)+((G10/B2)*B7)</f>
        <v>4.9694400000000005</v>
      </c>
      <c r="J10" s="45" t="s">
        <v>180</v>
      </c>
      <c r="K10" s="51"/>
      <c r="L10" s="51"/>
      <c r="M10" s="51"/>
      <c r="N10" s="51"/>
      <c r="O10" s="51"/>
      <c r="P10" s="51"/>
      <c r="Q10" s="51"/>
      <c r="R10" s="51"/>
    </row>
    <row r="11" spans="1:20" x14ac:dyDescent="0.35">
      <c r="H11" s="7"/>
      <c r="J11" s="45" t="s">
        <v>172</v>
      </c>
      <c r="K11" s="51"/>
      <c r="L11" s="51"/>
      <c r="M11" s="51"/>
      <c r="N11" s="51"/>
      <c r="O11" s="51"/>
      <c r="P11" s="51"/>
      <c r="Q11" s="51"/>
      <c r="R11" s="51"/>
    </row>
    <row r="12" spans="1:20" x14ac:dyDescent="0.35">
      <c r="G12" t="s">
        <v>147</v>
      </c>
      <c r="H12" s="65" t="s">
        <v>148</v>
      </c>
      <c r="J12" s="45" t="s">
        <v>168</v>
      </c>
      <c r="K12" s="51"/>
      <c r="L12" s="51"/>
      <c r="M12" s="51"/>
      <c r="N12" s="51"/>
      <c r="O12" s="51"/>
      <c r="P12" s="51"/>
      <c r="Q12" s="51"/>
      <c r="R12" s="51"/>
    </row>
    <row r="13" spans="1:20" ht="15" thickBot="1" x14ac:dyDescent="0.4">
      <c r="G13">
        <f>B3*B2</f>
        <v>1200</v>
      </c>
      <c r="H13" s="66">
        <f>(G10/G13)+((G10/G13)*B7)</f>
        <v>0.41412000000000004</v>
      </c>
      <c r="J13" s="45" t="s">
        <v>164</v>
      </c>
      <c r="K13" s="67"/>
      <c r="L13" s="51"/>
      <c r="M13" s="51"/>
      <c r="N13" s="51"/>
      <c r="O13" s="68"/>
      <c r="P13" s="51"/>
      <c r="Q13" s="51"/>
      <c r="R13" s="51"/>
    </row>
    <row r="14" spans="1:20" ht="15" thickTop="1" x14ac:dyDescent="0.35">
      <c r="A14" s="55" t="s">
        <v>192</v>
      </c>
      <c r="B14" s="56">
        <f>F10</f>
        <v>0</v>
      </c>
      <c r="J14" s="45" t="s">
        <v>165</v>
      </c>
      <c r="K14" s="69"/>
      <c r="L14" s="51"/>
      <c r="M14" s="51"/>
      <c r="N14" s="51"/>
      <c r="O14" s="51"/>
      <c r="P14" s="51"/>
      <c r="Q14" s="51"/>
      <c r="R14" s="51"/>
    </row>
    <row r="15" spans="1:20" x14ac:dyDescent="0.35">
      <c r="A15" s="57" t="s">
        <v>193</v>
      </c>
      <c r="B15" s="58">
        <f>(C10*D10)</f>
        <v>312.12</v>
      </c>
      <c r="J15" s="45" t="s">
        <v>169</v>
      </c>
      <c r="K15" s="69"/>
      <c r="L15" s="51"/>
      <c r="M15" s="51"/>
      <c r="N15" s="51"/>
      <c r="O15" s="51">
        <v>1.03</v>
      </c>
      <c r="P15" s="51"/>
      <c r="Q15" s="51"/>
      <c r="R15" s="51"/>
    </row>
    <row r="16" spans="1:20" x14ac:dyDescent="0.35">
      <c r="A16" s="57" t="s">
        <v>198</v>
      </c>
      <c r="B16" s="58">
        <f>((E10/2)*10)*B10</f>
        <v>51</v>
      </c>
      <c r="C16" s="7"/>
      <c r="J16" s="45" t="s">
        <v>175</v>
      </c>
      <c r="K16" s="69">
        <v>2.1</v>
      </c>
      <c r="L16" s="51" t="s">
        <v>173</v>
      </c>
      <c r="M16" s="51"/>
      <c r="N16" s="51"/>
      <c r="O16" s="51"/>
      <c r="P16" s="51"/>
      <c r="Q16" s="51"/>
      <c r="R16" s="51"/>
    </row>
    <row r="17" spans="1:18" ht="15" thickBot="1" x14ac:dyDescent="0.4">
      <c r="A17" s="59" t="s">
        <v>199</v>
      </c>
      <c r="B17" s="60">
        <f>IF(B6&lt;=0,B16,(E10/2)*B6)</f>
        <v>51</v>
      </c>
      <c r="J17" s="45" t="s">
        <v>186</v>
      </c>
      <c r="K17" s="69"/>
      <c r="L17" s="51" t="s">
        <v>173</v>
      </c>
      <c r="M17" s="51"/>
      <c r="N17" s="51"/>
      <c r="O17" s="51"/>
      <c r="P17" s="51"/>
      <c r="Q17" s="51"/>
      <c r="R17" s="51"/>
    </row>
    <row r="18" spans="1:18" ht="15" thickTop="1" x14ac:dyDescent="0.35">
      <c r="C18" s="70">
        <v>45672</v>
      </c>
      <c r="D18" s="75">
        <v>45776</v>
      </c>
      <c r="E18" s="75">
        <v>45791</v>
      </c>
      <c r="J18" s="52" t="s">
        <v>176</v>
      </c>
      <c r="K18" s="69">
        <v>5.4</v>
      </c>
      <c r="L18" s="51" t="s">
        <v>174</v>
      </c>
      <c r="M18" s="51"/>
      <c r="N18" s="51"/>
      <c r="O18" s="51"/>
      <c r="P18" s="51"/>
      <c r="Q18" s="51"/>
      <c r="R18" s="51"/>
    </row>
    <row r="19" spans="1:18" x14ac:dyDescent="0.35">
      <c r="B19" s="71" t="s">
        <v>204</v>
      </c>
      <c r="C19" s="73">
        <v>0.4</v>
      </c>
      <c r="D19">
        <v>0.43</v>
      </c>
      <c r="J19" s="45" t="s">
        <v>187</v>
      </c>
      <c r="K19" s="69"/>
      <c r="L19" s="51" t="s">
        <v>174</v>
      </c>
      <c r="M19" s="51"/>
      <c r="N19" s="51"/>
      <c r="O19" s="51"/>
      <c r="P19" s="51"/>
      <c r="Q19" s="51"/>
      <c r="R19" s="51"/>
    </row>
    <row r="20" spans="1:18" x14ac:dyDescent="0.35">
      <c r="B20" s="71" t="s">
        <v>205</v>
      </c>
      <c r="C20" s="73">
        <v>0.53</v>
      </c>
      <c r="D20">
        <v>0.57499999999999996</v>
      </c>
      <c r="E20">
        <v>0.57999999999999996</v>
      </c>
      <c r="J20" s="45" t="s">
        <v>170</v>
      </c>
      <c r="K20" s="69"/>
      <c r="L20" s="51" t="s">
        <v>174</v>
      </c>
      <c r="M20" s="51"/>
      <c r="N20" s="51"/>
      <c r="O20" s="51"/>
      <c r="P20" s="51"/>
      <c r="Q20" s="51"/>
      <c r="R20" s="51"/>
    </row>
    <row r="21" spans="1:18" x14ac:dyDescent="0.35">
      <c r="B21" s="71" t="s">
        <v>206</v>
      </c>
      <c r="C21" s="73">
        <v>0.75</v>
      </c>
      <c r="D21">
        <v>0.80500000000000005</v>
      </c>
      <c r="E21" s="33">
        <v>0.755</v>
      </c>
      <c r="F21" s="33"/>
      <c r="J21" s="18" t="s">
        <v>190</v>
      </c>
      <c r="K21" s="69"/>
      <c r="L21" s="51" t="s">
        <v>173</v>
      </c>
      <c r="M21" s="51"/>
      <c r="N21" s="51"/>
      <c r="O21" s="51"/>
      <c r="P21" s="51"/>
      <c r="Q21" s="51"/>
      <c r="R21" s="51"/>
    </row>
    <row r="22" spans="1:18" x14ac:dyDescent="0.35">
      <c r="B22" s="72" t="s">
        <v>214</v>
      </c>
      <c r="C22" s="74">
        <v>1.1399999999999999</v>
      </c>
      <c r="G22" s="43"/>
      <c r="J22" s="18" t="s">
        <v>203</v>
      </c>
      <c r="K22" s="69"/>
      <c r="L22" s="51" t="s">
        <v>173</v>
      </c>
      <c r="M22" s="51"/>
      <c r="N22" s="51"/>
      <c r="O22" s="51"/>
      <c r="P22" s="51"/>
      <c r="Q22" s="51"/>
      <c r="R22" s="51"/>
    </row>
    <row r="23" spans="1:18" x14ac:dyDescent="0.35">
      <c r="B23" s="71" t="s">
        <v>207</v>
      </c>
      <c r="C23" s="73">
        <v>1.48</v>
      </c>
    </row>
    <row r="24" spans="1:18" x14ac:dyDescent="0.35">
      <c r="B24" s="71" t="s">
        <v>208</v>
      </c>
      <c r="C24" s="73">
        <v>1.85</v>
      </c>
      <c r="J24" s="90" t="s">
        <v>177</v>
      </c>
      <c r="K24" s="90"/>
      <c r="L24" s="90"/>
      <c r="M24" s="45" t="s">
        <v>178</v>
      </c>
    </row>
    <row r="25" spans="1:18" x14ac:dyDescent="0.35">
      <c r="B25" s="71" t="s">
        <v>209</v>
      </c>
      <c r="H25" s="43"/>
      <c r="J25" s="90" t="s">
        <v>181</v>
      </c>
      <c r="K25" s="90"/>
      <c r="L25" s="90"/>
      <c r="M25" s="7" t="s">
        <v>182</v>
      </c>
    </row>
    <row r="27" spans="1:18" x14ac:dyDescent="0.35">
      <c r="B27" s="71" t="s">
        <v>210</v>
      </c>
    </row>
    <row r="28" spans="1:18" x14ac:dyDescent="0.35">
      <c r="B28" t="s">
        <v>211</v>
      </c>
      <c r="J28" s="7" t="s">
        <v>183</v>
      </c>
      <c r="K28" t="s">
        <v>184</v>
      </c>
    </row>
    <row r="29" spans="1:18" x14ac:dyDescent="0.35">
      <c r="B29" s="71" t="s">
        <v>213</v>
      </c>
      <c r="C29" s="42">
        <v>27</v>
      </c>
    </row>
    <row r="30" spans="1:18" x14ac:dyDescent="0.35">
      <c r="B30" t="s">
        <v>212</v>
      </c>
      <c r="C30" s="42">
        <v>32</v>
      </c>
      <c r="J30" t="s">
        <v>195</v>
      </c>
      <c r="K30" t="s">
        <v>196</v>
      </c>
    </row>
    <row r="34" spans="2:10" x14ac:dyDescent="0.35">
      <c r="B34" t="s">
        <v>215</v>
      </c>
      <c r="C34" s="42">
        <v>2.5499999999999998</v>
      </c>
      <c r="J34" s="54"/>
    </row>
    <row r="35" spans="2:10" x14ac:dyDescent="0.35">
      <c r="B35" t="s">
        <v>218</v>
      </c>
      <c r="C35" s="42">
        <v>2.2000000000000002</v>
      </c>
      <c r="J35" s="54"/>
    </row>
    <row r="36" spans="2:10" x14ac:dyDescent="0.35">
      <c r="B36" t="s">
        <v>216</v>
      </c>
      <c r="C36" s="42">
        <v>2.1</v>
      </c>
    </row>
    <row r="37" spans="2:10" x14ac:dyDescent="0.35">
      <c r="B37" t="s">
        <v>217</v>
      </c>
      <c r="C37" s="42">
        <v>1.45</v>
      </c>
    </row>
    <row r="38" spans="2:10" x14ac:dyDescent="0.35">
      <c r="C38" s="42"/>
    </row>
    <row r="39" spans="2:10" x14ac:dyDescent="0.35">
      <c r="C39" s="42"/>
    </row>
    <row r="40" spans="2:10" x14ac:dyDescent="0.35">
      <c r="C40" s="42"/>
    </row>
  </sheetData>
  <mergeCells count="3">
    <mergeCell ref="J1:R1"/>
    <mergeCell ref="J24:L24"/>
    <mergeCell ref="J25:L25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B2" sqref="B2"/>
    </sheetView>
  </sheetViews>
  <sheetFormatPr defaultRowHeight="14.5" x14ac:dyDescent="0.35"/>
  <sheetData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7FC52C1-ADE8-490D-8FC7-DA7939A6281E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Framing Labor - Proposal</vt:lpstr>
      <vt:lpstr>Framing Material Estimator</vt:lpstr>
      <vt:lpstr>Wall Details</vt:lpstr>
      <vt:lpstr>Hat Channel</vt:lpstr>
      <vt:lpstr>Notes</vt:lpstr>
      <vt:lpstr>'Framing Labor - Proposal'!Print_Area</vt:lpstr>
      <vt:lpstr>'Framing Material Estimator'!Print_Area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Ivanhoe Rodriguez</dc:creator>
  <cp:lastModifiedBy>ivan aframers.com</cp:lastModifiedBy>
  <cp:lastPrinted>2016-11-01T23:36:02Z</cp:lastPrinted>
  <dcterms:created xsi:type="dcterms:W3CDTF">2014-03-21T22:31:22Z</dcterms:created>
  <dcterms:modified xsi:type="dcterms:W3CDTF">2025-11-07T13:50:43Z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{87FC52C1-ADE8-490D-8FC7-DA7939A6281E}</vt:lpwstr>
  </property>
</Properties>
</file>